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'Planner'!$A$1:$M$67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<sst xmlns="http://schemas.openxmlformats.org/spreadsheetml/2006/main" count="807" uniqueCount="714">
  <si>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</si>
  <si>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</si>
  <si>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</si>
  <si>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</si>
  <si>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</si>
  <si>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</si>
  <si>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</si>
  <si>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</si>
  <si>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</si>
  <si>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</si>
  <si>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</si>
  <si>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</si>
  <si>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</si>
  <si>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</si>
  <si>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</si>
  <si>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</si>
  <si>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</si>
  <si>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</si>
  <si>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</si>
  <si>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</si>
  <si>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</si>
  <si>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</si>
  <si>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</si>
  <si>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</si>
  <si>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</si>
  <si>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</si>
  <si>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</si>
  <si>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</si>
  <si>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</si>
  <si>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</si>
  <si>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</si>
  <si>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</si>
  <si>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</si>
  <si>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</si>
  <si>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</si>
  <si>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</si>
  <si>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</si>
  <si>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</si>
  <si>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</si>
  <si>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</si>
  <si>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</si>
  <si>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</si>
  <si>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</si>
  <si>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</si>
  <si>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</si>
  <si>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</si>
  <si>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</si>
  <si>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</si>
  <si>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</si>
  <si>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</si>
  <si>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</si>
  <si>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</si>
  <si>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</si>
  <si>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</si>
  <si>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</si>
  <si>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</si>
  <si>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</si>
  <si>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</si>
  <si>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</si>
  <si>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</si>
  <si>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</si>
  <si>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</si>
  <si>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</si>
  <si>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</si>
  <si>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</si>
  <si>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</si>
  <si>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</si>
  <si>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</si>
  <si>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</si>
  <si>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</si>
  <si>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</si>
  <si>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</si>
  <si>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</si>
  <si>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</si>
  <si>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</si>
  <si>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</si>
  <si>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</si>
  <si>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</si>
  <si>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</si>
  <si>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</si>
  <si>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</si>
  <si>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</si>
  <si>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</si>
  <si>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</si>
  <si>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</si>
  <si>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</si>
  <si>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</si>
  <si>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</si>
  <si>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</si>
  <si>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</si>
  <si>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</si>
  <si>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</si>
  <si>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</si>
  <si>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</si>
  <si>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</si>
  <si>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</si>
  <si>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</si>
  <si>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</si>
  <si>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</si>
  <si>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</si>
  <si>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</si>
  <si>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</si>
  <si>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</si>
  <si>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</si>
  <si>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</si>
  <si>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</si>
  <si>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</si>
  <si>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</si>
  <si>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</si>
  <si>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</si>
  <si>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</si>
  <si>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</si>
  <si>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</si>
  <si>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</si>
  <si>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</si>
  <si>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</si>
  <si>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</si>
  <si>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</si>
  <si>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</si>
  <si>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</si>
  <si>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</si>
  <si>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</si>
  <si>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</si>
  <si>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</si>
  <si>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</si>
  <si>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</si>
  <si>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</si>
  <si>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</si>
  <si>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</si>
  <si>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</si>
  <si>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</si>
  <si>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</si>
  <si>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</si>
  <si>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</si>
  <si>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</si>
  <si>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</si>
  <si>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</si>
  <si>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</si>
  <si>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</si>
  <si>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</si>
  <si>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</si>
  <si>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</si>
  <si>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</si>
  <si>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</si>
  <si>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</si>
  <si>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</si>
  <si>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</si>
  <si>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</si>
  <si>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</si>
  <si>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</si>
  <si>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</si>
  <si>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</si>
  <si>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</si>
  <si>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</si>
  <si>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</si>
  <si>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</si>
  <si>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</si>
  <si>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</si>
  <si>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</si>
  <si>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</si>
  <si>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</si>
  <si>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</si>
  <si>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</si>
  <si>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</si>
  <si>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</si>
  <si>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</si>
  <si>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</si>
  <si>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</si>
  <si>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</si>
  <si>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</si>
  <si>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</si>
  <si>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</si>
  <si>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</si>
  <si>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</si>
  <si>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</si>
  <si>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</si>
  <si>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</si>
  <si>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</si>
  <si>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</si>
  <si>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</si>
  <si>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</si>
  <si>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</si>
  <si>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</si>
  <si>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</si>
  <si>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</si>
  <si>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</si>
  <si>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</si>
  <si>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</si>
  <si>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</si>
  <si>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</si>
  <si>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</si>
  <si>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</si>
  <si>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</si>
  <si>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</si>
  <si>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</si>
  <si>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</si>
  <si>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</si>
  <si>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</si>
  <si>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</si>
  <si>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</si>
  <si>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</si>
  <si>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</si>
  <si>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</si>
  <si>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</si>
  <si>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</si>
  <si>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</si>
  <si>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</si>
  <si>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</si>
  <si>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</si>
  <si>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</si>
  <si>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</si>
  <si>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</si>
  <si>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</si>
  <si>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</si>
  <si>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</si>
  <si>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</si>
  <si>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</si>
  <si>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</si>
  <si>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</si>
  <si>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</si>
  <si>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</si>
  <si>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</si>
  <si>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</si>
  <si>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</si>
  <si>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</si>
  <si>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</si>
  <si>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</si>
  <si>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</si>
  <si>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</si>
  <si>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</si>
  <si>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</si>
  <si>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</si>
  <si>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</si>
  <si>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</si>
  <si>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</si>
  <si>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</si>
  <si>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</si>
  <si>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</si>
  <si>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</si>
  <si>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</si>
  <si>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</si>
  <si>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</si>
  <si>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</si>
  <si>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</si>
  <si>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</si>
  <si>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</si>
  <si>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</si>
  <si>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</si>
  <si>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</si>
  <si>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</si>
  <si>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</si>
  <si>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</si>
  <si>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</si>
  <si>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</si>
  <si>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</si>
  <si>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</si>
  <si>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</si>
  <si>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</si>
  <si>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</si>
  <si>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</si>
  <si>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</si>
  <si>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</si>
  <si>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</si>
  <si>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</si>
  <si>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</si>
  <si>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</si>
  <si>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</si>
  <si>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</si>
  <si>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</si>
  <si>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</si>
  <si>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</si>
  <si>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</si>
  <si>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</si>
  <si>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</si>
  <si>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</si>
  <si>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</si>
  <si>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</si>
  <si>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</si>
  <si>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</si>
  <si>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</si>
  <si>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</si>
  <si>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</si>
  <si>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</si>
  <si>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</si>
  <si>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</si>
  <si>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</si>
  <si>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</si>
  <si>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</si>
  <si>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</si>
  <si>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</si>
  <si>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</si>
  <si>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</si>
  <si>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</si>
  <si>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</si>
  <si>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</si>
  <si>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</si>
  <si>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</si>
  <si>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</si>
  <si>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</si>
  <si>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</si>
  <si>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</si>
  <si>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</si>
  <si>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</si>
  <si>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</si>
  <si>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</si>
  <si>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</si>
  <si>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</si>
  <si>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</si>
  <si>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</si>
  <si>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</si>
  <si>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</si>
  <si>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</si>
  <si>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</si>
  <si>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</si>
  <si>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</si>
  <si>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</si>
  <si>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</si>
  <si>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</si>
  <si>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</si>
  <si>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</si>
  <si>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</si>
  <si>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</si>
  <si>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</si>
  <si>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</si>
  <si>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</si>
  <si>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</si>
  <si>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</si>
  <si>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</si>
  <si>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</si>
  <si>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</si>
  <si>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</si>
  <si>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</si>
  <si>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</si>
  <si>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</si>
  <si>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</si>
  <si>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</si>
  <si>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</si>
  <si>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</si>
  <si>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</si>
  <si>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</si>
  <si>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</si>
  <si>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</si>
  <si>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</si>
  <si>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</si>
  <si>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</si>
  <si>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</si>
  <si>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</si>
  <si>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</si>
  <si>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</si>
  <si>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</si>
  <si>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</si>
  <si>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</si>
  <si>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</si>
  <si>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</si>
  <si>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</si>
  <si>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</si>
  <si>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</si>
  <si>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</si>
  <si>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</si>
  <si>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</si>
  <si>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</si>
  <si>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</si>
  <si>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</si>
  <si>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</si>
  <si>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</si>
  <si>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</si>
  <si>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</si>
  <si>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</si>
  <si>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</si>
  <si>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</si>
  <si>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</si>
  <si>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</si>
  <si>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</si>
  <si>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</si>
  <si>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</si>
  <si>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</si>
  <si>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</si>
  <si>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</si>
  <si>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</si>
  <si>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</si>
  <si>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</si>
  <si>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</si>
  <si>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</si>
  <si>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</si>
  <si>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</si>
  <si>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</si>
  <si>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</si>
  <si>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</si>
  <si>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</si>
  <si>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</si>
  <si>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</si>
  <si>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</si>
  <si>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</si>
  <si>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</si>
  <si>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</si>
  <si>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</si>
  <si>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</si>
  <si>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</si>
  <si>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</si>
  <si>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</si>
  <si>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</si>
  <si>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</si>
  <si>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</si>
  <si>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</si>
  <si>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</si>
  <si>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</si>
  <si>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</si>
  <si>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</si>
  <si>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</si>
  <si>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</si>
  <si>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</si>
  <si>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</si>
  <si>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</si>
  <si>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</si>
  <si>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</si>
  <si>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</si>
  <si>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</si>
  <si>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</si>
  <si>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</si>
  <si>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</si>
  <si>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</si>
  <si>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</si>
  <si>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</si>
  <si>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</si>
  <si>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</si>
  <si>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</si>
  <si>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</si>
  <si>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</si>
  <si>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</si>
  <si>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</si>
  <si>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</si>
  <si>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</si>
  <si>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</si>
  <si>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</si>
  <si>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</si>
  <si>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</si>
  <si>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</si>
  <si>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</si>
  <si>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</si>
  <si>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</si>
  <si>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</si>
  <si>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</si>
  <si>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</si>
  <si>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</si>
  <si>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</si>
  <si>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</si>
  <si>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</si>
  <si>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</si>
  <si>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</si>
  <si>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</si>
  <si>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</si>
  <si>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</si>
  <si>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</si>
  <si>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</si>
  <si>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</si>
  <si>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</si>
  <si>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</si>
  <si>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</si>
  <si>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</si>
  <si>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</si>
  <si>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</si>
  <si>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</si>
  <si>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</si>
  <si>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</si>
  <si>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</si>
  <si>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</si>
  <si>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</si>
  <si>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</si>
  <si>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</si>
  <si>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</si>
  <si>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</si>
  <si>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</si>
  <si>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</si>
  <si>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</si>
  <si>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</si>
  <si>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</si>
  <si>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</si>
  <si>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</si>
  <si>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</si>
  <si>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</si>
  <si>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</si>
  <si>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</si>
  <si>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</si>
  <si>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</si>
  <si>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</si>
  <si>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</si>
  <si>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</si>
  <si>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</si>
  <si>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</si>
  <si>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</si>
  <si>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</si>
  <si>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</si>
  <si>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</si>
  <si>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</si>
  <si>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</si>
  <si>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</si>
  <si>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</si>
  <si>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</si>
  <si>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</si>
  <si>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</si>
  <si>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</si>
  <si>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</si>
  <si>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</si>
  <si>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</si>
  <si>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</si>
  <si>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</si>
  <si>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</si>
  <si>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</si>
  <si>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</si>
  <si>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</si>
  <si>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</si>
  <si>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</si>
  <si>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</si>
  <si>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</si>
  <si>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</si>
  <si>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</si>
  <si>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</si>
  <si>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</si>
  <si>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</si>
  <si>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</si>
  <si>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</si>
  <si>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</si>
  <si>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</si>
  <si>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</si>
  <si>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</si>
  <si>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</si>
  <si>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</si>
  <si>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</si>
  <si>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</si>
  <si>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</si>
  <si>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</si>
  <si>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</si>
  <si>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</si>
  <si>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</si>
  <si>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</si>
  <si>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</si>
  <si>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</si>
  <si>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</si>
  <si>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</si>
  <si>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</si>
  <si>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</si>
  <si>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</si>
  <si>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</si>
  <si>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</si>
  <si>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</si>
  <si>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</si>
  <si>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</si>
  <si>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</si>
  <si>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</si>
  <si>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</si>
  <si>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</si>
  <si>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</si>
  <si>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</si>
  <si>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</si>
  <si>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</si>
  <si>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</si>
  <si>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</si>
  <si>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</si>
  <si>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</si>
  <si>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</si>
  <si>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</si>
  <si>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</si>
  <si>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</si>
  <si>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</si>
  <si>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</si>
  <si>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</si>
  <si>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</si>
  <si>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</si>
  <si>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</si>
  <si>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</si>
  <si>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</si>
  <si>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</si>
  <si>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</si>
  <si>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</si>
  <si>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</si>
  <si>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</si>
  <si>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</si>
  <si>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</si>
  <si>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</si>
  <si>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</si>
  <si>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</si>
  <si>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</si>
  <si>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</si>
  <si>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</si>
  <si>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</si>
  <si>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</si>
  <si>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</si>
  <si>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</si>
  <si>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</si>
  <si>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</si>
  <si>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</si>
  <si>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</si>
  <si>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</si>
  <si>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</si>
  <si>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</si>
  <si>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</si>
  <si>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</si>
  <si>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</si>
  <si>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</si>
  <si>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</si>
  <si>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</si>
  <si>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</si>
  <si>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</si>
  <si>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</si>
  <si>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</si>
  <si>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</si>
  <si>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</si>
  <si>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</si>
  <si>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</si>
  <si>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</si>
  <si>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</si>
  <si>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</si>
  <si>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</si>
  <si>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</si>
  <si>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</si>
  <si>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</si>
  <si>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</si>
  <si>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</si>
  <si>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</si>
  <si>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</si>
  <si>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</si>
  <si>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</si>
  <si>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</si>
  <si>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</si>
  <si>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</si>
  <si>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</si>
  <si>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</si>
  <si>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</si>
  <si>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</si>
  <si>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</si>
  <si>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</si>
  <si>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</si>
  <si>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</si>
  <si>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</si>
  <si>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</si>
  <si>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</si>
  <si>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</si>
  <si>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</si>
  <si>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</si>
  <si>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</si>
  <si>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</si>
  <si>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</si>
  <si>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</si>
  <si>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</si>
  <si>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</si>
  <si>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</si>
  <si>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</si>
  <si>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</si>
  <si>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</si>
  <si>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</si>
  <si>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</si>
  <si>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</si>
  <si>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</si>
  <si>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</si>
  <si>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</si>
  <si>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</si>
  <si>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</si>
  <si>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</si>
  <si>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</si>
  <si>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</si>
  <si>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</si>
  <si>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</si>
  <si>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</si>
  <si>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</si>
  <si>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</si>
  <si>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</si>
  <si>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</si>
  <si>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</si>
  <si>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</si>
  <si>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</si>
  <si>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</si>
  <si>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</si>
  <si>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</si>
  <si>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</si>
  <si>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</si>
  <si>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</si>
  <si>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</si>
  <si>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</si>
  <si>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</si>
  <si>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</si>
  <si>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</si>
  <si>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</si>
  <si>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</si>
  <si>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</si>
  <si>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</si>
  <si>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</si>
  <si>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</si>
  <si>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</si>
  <si>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</si>
  <si>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</si>
  <si>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</si>
  <si>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</si>
  <si>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</si>
  <si>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</si>
  <si>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</si>
  <si>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</si>
  <si>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</si>
  <si>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</si>
  <si>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</si>
  <si>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</si>
  <si>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</si>
  <si>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</si>
  <si>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</si>
  <si>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</si>
  <si>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</si>
  <si>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</si>
  <si>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</si>
  <si>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Recept 27</t>
  </si>
  <si>
    <t>IPA Cascade</t>
  </si>
  <si>
    <t>FWH</t>
  </si>
  <si>
    <t>Z</t>
  </si>
  <si>
    <t>REFRAC</t>
  </si>
  <si>
    <t>1wk</t>
  </si>
  <si>
    <t>geen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</si>
</sst>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0" fillId="31" borderId="7" applyNumberFormat="0" applyFont="0" applyAlignment="0" applyProtection="0"/>
    <xf numFmtId="0" fontId="114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3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4" applyFont="1" applyFill="1" applyBorder="1" applyAlignment="1">
      <alignment horizontal="center"/>
      <protection/>
    </xf>
    <xf numFmtId="0" fontId="42" fillId="53" borderId="110" xfId="54" applyFont="1" applyFill="1" applyBorder="1" applyAlignment="1">
      <alignment horizontal="center"/>
      <protection/>
    </xf>
    <xf numFmtId="0" fontId="82" fillId="54" borderId="111" xfId="54" applyFont="1" applyFill="1" applyBorder="1" applyAlignment="1">
      <alignment horizontal="center"/>
      <protection/>
    </xf>
    <xf numFmtId="0" fontId="82" fillId="55" borderId="112" xfId="54" applyFont="1" applyFill="1" applyBorder="1" applyAlignment="1">
      <alignment horizontal="center"/>
      <protection/>
    </xf>
    <xf numFmtId="0" fontId="14" fillId="50" borderId="113" xfId="54" applyFont="1" applyFill="1" applyBorder="1" applyAlignment="1">
      <alignment horizontal="center"/>
      <protection/>
    </xf>
    <xf numFmtId="1" fontId="14" fillId="50" borderId="114" xfId="54" applyNumberFormat="1" applyFont="1" applyFill="1" applyBorder="1" applyAlignment="1">
      <alignment horizontal="center"/>
      <protection/>
    </xf>
    <xf numFmtId="0" fontId="40" fillId="53" borderId="115" xfId="54" applyFont="1" applyFill="1" applyBorder="1" applyAlignment="1">
      <alignment horizontal="center"/>
      <protection/>
    </xf>
    <xf numFmtId="0" fontId="83" fillId="54" borderId="116" xfId="54" applyFont="1" applyFill="1" applyBorder="1" applyAlignment="1">
      <alignment horizontal="center"/>
      <protection/>
    </xf>
    <xf numFmtId="0" fontId="80" fillId="55" borderId="117" xfId="54" applyFont="1" applyFill="1" applyBorder="1" applyAlignment="1">
      <alignment horizontal="center"/>
      <protection/>
    </xf>
    <xf numFmtId="0" fontId="84" fillId="44" borderId="118" xfId="54" applyFont="1" applyFill="1" applyBorder="1" applyAlignment="1">
      <alignment horizontal="center"/>
      <protection/>
    </xf>
    <xf numFmtId="1" fontId="19" fillId="0" borderId="92" xfId="54" applyNumberFormat="1" applyFont="1" applyFill="1" applyBorder="1" applyAlignment="1">
      <alignment horizontal="center"/>
      <protection/>
    </xf>
    <xf numFmtId="0" fontId="19" fillId="56" borderId="92" xfId="54" applyFont="1" applyFill="1" applyBorder="1" applyAlignment="1">
      <alignment horizontal="center"/>
      <protection/>
    </xf>
    <xf numFmtId="0" fontId="19" fillId="54" borderId="92" xfId="54" applyFont="1" applyFill="1" applyBorder="1" applyAlignment="1">
      <alignment horizontal="center"/>
      <protection/>
    </xf>
    <xf numFmtId="0" fontId="19" fillId="55" borderId="92" xfId="54" applyFont="1" applyFill="1" applyBorder="1" applyAlignment="1">
      <alignment horizontal="center"/>
      <protection/>
    </xf>
    <xf numFmtId="0" fontId="19" fillId="44" borderId="92" xfId="54" applyFont="1" applyFill="1" applyBorder="1" applyAlignment="1">
      <alignment horizontal="center"/>
      <protection/>
    </xf>
    <xf numFmtId="1" fontId="19" fillId="0" borderId="92" xfId="54" applyNumberFormat="1" applyFont="1" applyFill="1" applyBorder="1">
      <alignment/>
      <protection/>
    </xf>
    <xf numFmtId="0" fontId="19" fillId="56" borderId="92" xfId="54" applyFont="1" applyFill="1" applyBorder="1">
      <alignment/>
      <protection/>
    </xf>
    <xf numFmtId="0" fontId="19" fillId="54" borderId="92" xfId="54" applyFont="1" applyFill="1" applyBorder="1">
      <alignment/>
      <protection/>
    </xf>
    <xf numFmtId="0" fontId="19" fillId="55" borderId="92" xfId="54" applyFont="1" applyFill="1" applyBorder="1">
      <alignment/>
      <protection/>
    </xf>
    <xf numFmtId="0" fontId="19" fillId="44" borderId="92" xfId="54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4" applyFont="1" applyFill="1" applyBorder="1" applyAlignment="1">
      <alignment horizontal="center"/>
      <protection/>
    </xf>
    <xf numFmtId="0" fontId="17" fillId="58" borderId="120" xfId="54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G3" sqref="G3:L3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708</v>
      </c>
      <c r="B1" s="512"/>
      <c r="C1" s="3" t="s">
        <v>0</v>
      </c>
      <c r="F1" s="4" t="s">
        <v>588</v>
      </c>
      <c r="G1" s="267">
        <v>3.5</v>
      </c>
      <c r="H1" s="268">
        <f>IF(mashfactor&gt;4.5,0,(5-mashfactor)/2.2)</f>
        <v>0.6818181818181818</v>
      </c>
      <c r="J1" s="6" t="s">
        <v>599</v>
      </c>
      <c r="K1" s="499"/>
      <c r="L1" s="500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Fermentis US-05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707</v>
      </c>
      <c r="B2" s="512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499">
        <v>41601</v>
      </c>
      <c r="L2" s="500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12.583331237750185</v>
      </c>
      <c r="AA2" s="428"/>
      <c r="AB2" s="519" t="str">
        <f>G3</f>
        <v>Universeel, krachtig, bier verbleekt.</v>
      </c>
      <c r="AC2" s="51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20" t="s">
        <v>242</v>
      </c>
      <c r="E3" s="520"/>
      <c r="F3" s="520"/>
      <c r="G3" s="501" t="str">
        <f>VLOOKUP(HoofdGist,'Info-Tabellen'!$X:$AB,5,0)</f>
        <v>Universeel, krachtig, bier verbleekt.</v>
      </c>
      <c r="H3" s="502"/>
      <c r="I3" s="502"/>
      <c r="J3" s="502"/>
      <c r="K3" s="502"/>
      <c r="L3" s="502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2.5</v>
      </c>
      <c r="M4" s="23"/>
      <c r="N4" s="207"/>
      <c r="P4" s="485"/>
      <c r="Q4" s="485"/>
      <c r="R4" s="88">
        <f>0.0000152482628*voorsp_eindplato*voorsp_eindplato+0.0038422807854*voorsp_eindplato+1.0000602058824</f>
        <v>1.0134770341523307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geen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710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81</v>
      </c>
      <c r="J5" s="359">
        <f>SUM($D$8:$D$18)</f>
        <v>2.25</v>
      </c>
      <c r="K5" s="283">
        <f>IF(Eiwitrust="J",10,0)</f>
        <v>0</v>
      </c>
      <c r="L5" s="360">
        <f>(totplato-VSPrestextract)/(2.0665-0.010665*(totplato))</f>
        <v>5.2081594987529325</v>
      </c>
      <c r="M5" s="23"/>
      <c r="R5" s="486" t="s">
        <v>695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212</v>
      </c>
      <c r="AA5" s="428"/>
      <c r="AB5" s="519" t="e">
        <f>VLOOKUP(bottelgist,'Info-Tabellen'!$X:$AB,5,0)</f>
        <v>#N/A</v>
      </c>
      <c r="AC5" s="51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15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0.8031600000000001</v>
      </c>
      <c r="H6" s="396"/>
      <c r="I6" s="272">
        <f>IF(moutkilos=0,"",IF(Aardbier=1,moutkilos*1.6*($B$30-mouttemp)/(mashwater*4.18),moutkilos*1.6*($B$29-mouttemp)/(mashwater*4.18)))</f>
        <v>5.146556230147561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669</v>
      </c>
      <c r="R6" s="207" t="s">
        <v>694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15.529828833615069</v>
      </c>
      <c r="K7" s="47">
        <f>IF(ISNUMBER($J$7),(0.0000152482628*J7*J7+0.0038422807854*J7+1.0000602058824)*1000,"")</f>
        <v>1063.4076774900475</v>
      </c>
      <c r="L7" s="306">
        <f>IF(ISNUMBER($J$7),0.0000005*R7*R7*R7-0.00042273*R7*R7+0.28198838*R7-3.97853928,"")</f>
        <v>15.861967205795331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78.80038622453259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151</v>
      </c>
      <c r="B8" s="370">
        <f>VLOOKUP(A8,'Info-Tabellen'!$H:$K,2,0)</f>
        <v>80.07</v>
      </c>
      <c r="C8" s="370">
        <f>VLOOKUP(A8,'Info-Tabellen'!$H:$J,3,0)</f>
        <v>8</v>
      </c>
      <c r="D8" s="31">
        <v>2.25</v>
      </c>
      <c r="E8" s="32">
        <f>IF(Gewenste_liters=0,"0",IF(D8=0,"  ",(B8*D8/(Gewenste_liters+hopverlies))*effic))</f>
        <v>15.529828833615069</v>
      </c>
      <c r="F8" s="33">
        <f aca="true" t="shared" si="0" ref="F8:F18">IF(Gewenste_liters=0,"0",IF(D8=0,"  ",1.8*(Q8)^0.69))</f>
        <v>11.363331237750184</v>
      </c>
      <c r="G8" s="276">
        <f aca="true" t="shared" si="1" ref="G8:G16">IF(D8="","  ",(D8*100/Totaalkg))</f>
        <v>100</v>
      </c>
      <c r="H8" s="277">
        <f aca="true" t="shared" si="2" ref="H8:H16">IF(E8="  ","  ",(E8*100/totplato))</f>
        <v>100</v>
      </c>
      <c r="I8" s="298">
        <f aca="true" t="shared" si="3" ref="I8:I23">IF(O8=0,"",E8-(E8*O8/100))</f>
        <v>3.4447983958200705</v>
      </c>
      <c r="J8" s="513" t="s">
        <v>621</v>
      </c>
      <c r="K8" s="514"/>
      <c r="L8" s="514"/>
      <c r="M8" s="23"/>
      <c r="N8" s="410">
        <f>IF(D8=0,0,VLOOKUP(A8,'Info-Tabellen'!$H:$K,4,0))</f>
        <v>100</v>
      </c>
      <c r="O8" s="415">
        <f>IF(N8=0,0,(SVGopmout*N8/100)-ATNfactor-Aftrokmaische)</f>
        <v>77.81818181818181</v>
      </c>
      <c r="P8" s="379">
        <f>IF(C8=0,0,C8*0.3748+0.6)</f>
        <v>3.5984000000000003</v>
      </c>
      <c r="Q8" s="379">
        <f>C8*E8/8.6</f>
        <v>14.446352403362855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184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15"/>
      <c r="K9" s="516"/>
      <c r="L9" s="516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39</v>
      </c>
      <c r="AA11" s="428"/>
      <c r="AB11" s="496" t="str">
        <f>VLOOKUP(hop1,'Info-Tabellen'!$R:$V,3,0)</f>
        <v>Universele hop, gebruikt als bitterhop. Wordt in donkere bieren gebruikt, De hopbellen zijn van nature wat bruiner.</v>
      </c>
      <c r="AC11" s="496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15.529828833615069</v>
      </c>
      <c r="K12" s="47">
        <f>IF(ISNUMBER($J$7),(0.0000152482628*J12*J12+0.0038422807854*J12+1.0000602058824)*1000,"")</f>
        <v>1063.4076774900475</v>
      </c>
      <c r="L12" s="49">
        <f>IF(ISNUMBER($J$12),$L$7+$L$10,"")</f>
        <v>15.861967205795331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6"/>
      <c r="AC12" s="496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696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3.4447983958200705</v>
      </c>
      <c r="K14" s="47">
        <f>voorsp_eindSG</f>
        <v>1013.4770341523307</v>
      </c>
      <c r="L14" s="49">
        <f>J14*1.03</f>
        <v>3.5481423476946725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170</v>
      </c>
      <c r="AA14" s="428"/>
      <c r="AB14" s="42" t="str">
        <f>hop2</f>
        <v>Cascade BLM VDKOOY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3.4447983958200705</v>
      </c>
      <c r="K15" s="434" t="s">
        <v>678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6" t="str">
        <f>VLOOKUP(hop2,'Info-Tabellen'!$R:$V,3,0)</f>
        <v>Medium sterk aroma. Amerika´s meest populaire aromahop. Heeft een kenmerkend citrus- tot grapefruitkarakter.</v>
      </c>
      <c r="AC15" s="496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7" t="s">
        <v>79</v>
      </c>
      <c r="K16" s="518"/>
      <c r="L16" s="518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683</v>
      </c>
      <c r="AA16" s="428"/>
      <c r="AB16" s="496"/>
      <c r="AC16" s="496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0.46014307655155756</v>
      </c>
      <c r="K17" s="308" t="s">
        <v>625</v>
      </c>
      <c r="L17" s="206">
        <f>(INT(160*Starter/10))*10</f>
        <v>70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1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20</v>
      </c>
      <c r="B19" s="372">
        <f>VLOOKUP(A19,'Info-Tabellen'!$M:$O,2,0)</f>
        <v>0</v>
      </c>
      <c r="C19" s="372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0.48315023037913546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6">
        <f>VLOOKUP(hop3,'Info-Tabellen'!$R:$V,3,0)</f>
        <v>0</v>
      </c>
      <c r="AC19" s="496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7" t="s">
        <v>624</v>
      </c>
      <c r="K20" s="498"/>
      <c r="L20" s="209">
        <f>Gewenste_liters/21*totplato</f>
        <v>5.916125269948597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6"/>
      <c r="AC20" s="496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10.540022013799538</v>
      </c>
      <c r="L22" s="87">
        <f>$K$22*1.04</f>
        <v>10.96162289435152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6">
        <f>VLOOKUP(hop4,'Info-Tabellen'!$R:$V,3,0)</f>
        <v>0</v>
      </c>
      <c r="AC23" s="496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5.629771898973406</v>
      </c>
      <c r="K24" s="318">
        <f>IF($L$10=0,1.035,$L$12/$J$12)</f>
        <v>1.035</v>
      </c>
      <c r="L24" s="386">
        <f>IF((Gewenste_liters+(1.7*moutkilos)*1.2)&lt;mashwater,mashwater+verkookwater,($K$22*1.18)+(moutkilos*0.75))</f>
        <v>14.124725976283454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6"/>
      <c r="AC24" s="496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2.25</v>
      </c>
      <c r="E25" s="71">
        <f>SUM(E8:E24)</f>
        <v>15.529828833615069</v>
      </c>
      <c r="F25" s="444">
        <f>SUM(F8:F24)</f>
        <v>11.363331237750184</v>
      </c>
      <c r="G25" s="393" t="s">
        <v>665</v>
      </c>
      <c r="H25" s="282"/>
      <c r="I25" s="345">
        <f>SUM(I8:I23)</f>
        <v>3.4447983958200705</v>
      </c>
      <c r="J25" s="488" t="s">
        <v>698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699</v>
      </c>
      <c r="E26" s="395">
        <f>StamwortSG</f>
        <v>1063.4076774900475</v>
      </c>
      <c r="F26" s="444">
        <f>IF(kleur=0,0,IF(kleur&lt;2,kleur,kleur+(1.22*Kooktijd/60)))</f>
        <v>12.583331237750185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1013.4770341523307</v>
      </c>
      <c r="J26" s="488" t="s">
        <v>697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700</v>
      </c>
      <c r="H27" s="343">
        <f>IF((totplato-VSPrestextract)/(2.0665-0.010665*totplato)=0,0,voorsp_eindSG/1000*VSPalcogewicht/0.794/100)</f>
        <v>0.0664779602290732</v>
      </c>
      <c r="I27" s="347" t="s">
        <v>628</v>
      </c>
      <c r="J27" s="329"/>
      <c r="K27" s="134" t="s">
        <v>633</v>
      </c>
      <c r="L27" s="387">
        <f>Gewenste_liters*(1+VSPalcvol/4)</f>
        <v>8.132955920458146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6">
        <f>VLOOKUP(hop5,'Info-Tabellen'!$R:$V,3,0)</f>
        <v>0</v>
      </c>
      <c r="AC27" s="496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8.0325</v>
      </c>
      <c r="C28" s="77" t="s">
        <v>24</v>
      </c>
      <c r="D28" s="334">
        <f>IF(moutkilos=0,55,IF(Aardbier=1,($B$30+tempverlies)*ketelinvloed/100,($B$29+tempverlies)*ketelinvloed/100))</f>
        <v>67.80582344899682</v>
      </c>
      <c r="E28" s="494" t="s">
        <v>680</v>
      </c>
      <c r="F28" s="495"/>
      <c r="G28" s="438"/>
      <c r="H28" s="23"/>
      <c r="I28" s="399" t="s">
        <v>679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6"/>
      <c r="AC28" s="496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530"/>
      <c r="H29" s="531"/>
      <c r="I29" s="532"/>
      <c r="L29" s="145" t="s">
        <v>682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25</v>
      </c>
      <c r="E30" s="441"/>
      <c r="F30" s="442"/>
      <c r="G30" s="533"/>
      <c r="H30" s="531"/>
      <c r="I30" s="532"/>
      <c r="J30" s="332" t="s">
        <v>635</v>
      </c>
      <c r="K30" s="134"/>
      <c r="L30" s="250">
        <f>IF(moutkilos=0,"",moutkilos+mashwater)</f>
        <v>10.2825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Ga snel naar volgende stap</v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4"/>
      <c r="H31" s="531"/>
      <c r="I31" s="532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6">
        <f>VLOOKUP(hop6,'Info-Tabellen'!$R:$V,3,0)</f>
        <v>0</v>
      </c>
      <c r="AC31" s="496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30</v>
      </c>
      <c r="G32" s="535"/>
      <c r="H32" s="531"/>
      <c r="I32" s="532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6"/>
      <c r="AC32" s="496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6.092225976283453</v>
      </c>
      <c r="F33" s="95" t="s">
        <v>30</v>
      </c>
      <c r="G33" s="419" t="s">
        <v>609</v>
      </c>
      <c r="H33" s="96"/>
      <c r="I33" s="96"/>
      <c r="L33" s="98">
        <f>$L$22/6.5</f>
        <v>1.686403522207926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1015.8004015462832</v>
      </c>
      <c r="C34" s="101">
        <f>IF(mashplato&lt;13.4,3,mashplato*mashplato/58)</f>
        <v>4.158199717265206</v>
      </c>
      <c r="D34" s="102">
        <f>C34*1.035</f>
        <v>4.303736707369488</v>
      </c>
      <c r="F34" s="12"/>
      <c r="G34" s="537" t="s">
        <v>641</v>
      </c>
      <c r="H34" s="538"/>
      <c r="I34" s="539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1" t="s">
        <v>35</v>
      </c>
      <c r="AC34" s="521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7" t="s">
        <v>42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0" t="str">
        <f>VLOOKUP(G35,'Info-Tabellen'!$AD:$AF,3,0)</f>
        <v>-</v>
      </c>
      <c r="AC35" s="510"/>
      <c r="AD35" s="2"/>
      <c r="AR35" s="427"/>
      <c r="AS35" s="427"/>
      <c r="AT35" s="2"/>
    </row>
    <row r="36" spans="1:46" ht="12" customHeight="1">
      <c r="A36" s="113" t="s">
        <v>331</v>
      </c>
      <c r="B36" s="114" t="s">
        <v>672</v>
      </c>
      <c r="C36" s="115">
        <v>5</v>
      </c>
      <c r="D36" s="362">
        <v>10.2</v>
      </c>
      <c r="E36" s="353" t="s">
        <v>709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11.566679268896705</v>
      </c>
      <c r="G36" s="507" t="s">
        <v>42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0.01335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1" t="str">
        <f>VLOOKUP(G36,'Info-Tabellen'!$AD:$AF,3,0)</f>
        <v>-</v>
      </c>
      <c r="AC36" s="511"/>
      <c r="AD36" s="2"/>
      <c r="AR36" s="427"/>
      <c r="AS36" s="427"/>
      <c r="AT36" s="2"/>
    </row>
    <row r="37" spans="1:46" ht="12" customHeight="1">
      <c r="A37" s="121" t="s">
        <v>647</v>
      </c>
      <c r="B37" s="122" t="s">
        <v>44</v>
      </c>
      <c r="C37" s="123">
        <v>50.65</v>
      </c>
      <c r="D37" s="363">
        <v>6.6</v>
      </c>
      <c r="E37" s="124">
        <f>Kooktijd-10</f>
        <v>50</v>
      </c>
      <c r="F37" s="125">
        <f t="shared" si="10"/>
        <v>26.450429164473768</v>
      </c>
      <c r="G37" s="507" t="s">
        <v>42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0.3039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0" t="str">
        <f>VLOOKUP(G37,'Info-Tabellen'!$AD:$AF,3,0)</f>
        <v>-</v>
      </c>
      <c r="AC37" s="510"/>
      <c r="AD37" s="2"/>
      <c r="AR37" s="427"/>
      <c r="AS37" s="427"/>
      <c r="AT37" s="2"/>
    </row>
    <row r="38" spans="1:52" ht="12" customHeight="1">
      <c r="A38" s="113" t="s">
        <v>43</v>
      </c>
      <c r="B38" s="114" t="s">
        <v>44</v>
      </c>
      <c r="C38" s="115"/>
      <c r="D38" s="362">
        <f>VLOOKUP(hop3,'Info-Tabellen'!$R:$T,2,0)</f>
        <v>0</v>
      </c>
      <c r="E38" s="117"/>
      <c r="F38" s="118">
        <f t="shared" si="10"/>
      </c>
      <c r="G38" s="507" t="s">
        <v>42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1" t="str">
        <f>VLOOKUP(G38,'Info-Tabellen'!$AD:$AF,3,0)</f>
        <v>-</v>
      </c>
      <c r="AC38" s="511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672</v>
      </c>
      <c r="C39" s="127"/>
      <c r="D39" s="363">
        <f>VLOOKUP(hop4,'Info-Tabellen'!$R:$T,2,0)</f>
        <v>0</v>
      </c>
      <c r="E39" s="128"/>
      <c r="F39" s="125">
        <f t="shared" si="10"/>
      </c>
      <c r="G39" s="507" t="s">
        <v>42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0" t="str">
        <f>VLOOKUP(G39,'Info-Tabellen'!$AD:$AF,3,0)</f>
        <v>-</v>
      </c>
      <c r="AC39" s="510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672</v>
      </c>
      <c r="C40" s="115"/>
      <c r="D40" s="362">
        <f>VLOOKUP(hop5,'Info-Tabellen'!$R:$T,2,0)</f>
        <v>0</v>
      </c>
      <c r="E40" s="117"/>
      <c r="F40" s="118">
        <f t="shared" si="10"/>
      </c>
      <c r="G40" s="507" t="s">
        <v>42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1" t="str">
        <f>VLOOKUP(G40,'Info-Tabellen'!$AD:$AF,3,0)</f>
        <v>-</v>
      </c>
      <c r="AC40" s="511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4">
        <f>VLOOKUP(hop6,'Info-Tabellen'!$R:$T,2,0)</f>
        <v>0</v>
      </c>
      <c r="E41" s="130"/>
      <c r="F41" s="131">
        <f t="shared" si="10"/>
      </c>
      <c r="G41" s="507" t="s">
        <v>42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0" t="str">
        <f>VLOOKUP(G41,'Info-Tabellen'!$AD:$AF,3,0)</f>
        <v>-</v>
      </c>
      <c r="AC41" s="510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7" t="s">
        <v>42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1" t="str">
        <f>VLOOKUP(G42,'Info-Tabellen'!$AD:$AF,3,0)</f>
        <v>-</v>
      </c>
      <c r="AC42" s="511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4" t="s">
        <v>49</v>
      </c>
      <c r="E43" s="525"/>
      <c r="F43" s="321">
        <f>SUM(F36:F42)</f>
        <v>38.017108433370474</v>
      </c>
      <c r="G43" s="507" t="s">
        <v>42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1.31725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0" t="str">
        <f>VLOOKUP(G43,'Info-Tabellen'!$AD:$AF,3,0)</f>
        <v>-</v>
      </c>
      <c r="AC43" s="510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>
        <v>20</v>
      </c>
      <c r="M44" s="23"/>
      <c r="N44" s="398" t="s">
        <v>52</v>
      </c>
      <c r="O44" s="481">
        <f>verkookpercent/100*Kooktijd/60*$L$27</f>
        <v>1.0898160933413916</v>
      </c>
      <c r="P44" s="391" t="s">
        <v>684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1.056</v>
      </c>
      <c r="H45" s="149">
        <v>0</v>
      </c>
      <c r="I45" s="149"/>
      <c r="J45" s="151">
        <f>IF(Stamplato="","",IF(Eindcijfer="","",0.1808*Stamplato+0.8192*Eindplato))</f>
        <v>5.91576220859418</v>
      </c>
      <c r="L45" s="150">
        <f>IF(Stamwort="","",1+(Stamplato/(258.6-0.87955*Stamplato)))</f>
        <v>1.0560033832020375</v>
      </c>
      <c r="M45" s="23"/>
      <c r="O45" s="207"/>
      <c r="P45" s="376" t="s">
        <v>685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704</v>
      </c>
      <c r="C46" s="156">
        <v>1056</v>
      </c>
      <c r="D46" s="157">
        <f>IF(Stamwort="","SG",IF(meter="S.G.",Stamwort,IF(meter="°Plato",(0.0000152482628*Stamwort*Stamwort+0.0038422807854*Stamwort+1.0000602058824)*1000,IF(meter="Brix",259/(259.12955-Stamplato)*1000))))</f>
        <v>1056</v>
      </c>
      <c r="E46" s="527">
        <f>IF(Stamwort="","°Plato",IF(meter="°Plato",Stamwort,IF(meter="S.G.",(164.22197*$G$45*$G$45*$G$45-717.63578*$G$45*$G$45+1201.22307*$G$45-647.81258),IF(meter="Brix",Stamwort/Brixratio))))</f>
        <v>13.80259001316358</v>
      </c>
      <c r="F46" s="527"/>
      <c r="G46" s="528">
        <f>IF(Stamwort="","Brix",IF(meter="Brix",Stamwort,IF(meter="°Plato",Stamwort*Brixratio,IF(meter="S.G.",Stamplato*Brixratio))))</f>
        <v>14.285680663624305</v>
      </c>
      <c r="H46" s="528"/>
      <c r="K46" s="483" t="s">
        <v>689</v>
      </c>
      <c r="L46" s="158">
        <v>8.2</v>
      </c>
      <c r="M46" s="23"/>
      <c r="N46" s="407" t="s">
        <v>56</v>
      </c>
      <c r="O46" s="478">
        <f>verkookwater+hopverlies</f>
        <v>2.407066093341392</v>
      </c>
      <c r="P46" s="390" t="s">
        <v>686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1013.4770341523307</v>
      </c>
      <c r="G47" s="163" t="s">
        <v>59</v>
      </c>
      <c r="H47" s="164">
        <v>18</v>
      </c>
      <c r="I47" s="286" t="s">
        <v>597</v>
      </c>
      <c r="K47" s="529">
        <v>41601</v>
      </c>
      <c r="L47" s="529"/>
      <c r="M47" s="23"/>
      <c r="O47" s="207"/>
      <c r="P47" s="390" t="s">
        <v>687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711</v>
      </c>
      <c r="G48" s="19" t="s">
        <v>61</v>
      </c>
      <c r="H48" s="155" t="s">
        <v>704</v>
      </c>
      <c r="I48" s="266"/>
      <c r="K48" s="166" t="s">
        <v>598</v>
      </c>
      <c r="L48" s="156">
        <v>1031.5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4.109230865132904</v>
      </c>
      <c r="F49" s="167">
        <f>IF(ISNUMBER(alconalager),12-(alconalager*100/1.97),"")</f>
        <v>9.33025717997886</v>
      </c>
      <c r="G49" s="490">
        <f>IF(Eindcijfer="","°Plato",IF(meternadien="°Plato",Eindcijfer,IF(meternadien="S.G.",(259*Eindcijfer/1000-259)/(Eindcijfer/1000-0.0089),Eindcijfer/1.03)))</f>
        <v>7.978192841775868</v>
      </c>
      <c r="H49" s="540">
        <f>IF(Eindcijfer="","Brix",IF(meternadien="Brix",Eindcijfer,IF(meternadien="°Plato",Eindcijfer*Brixratio,IF(meternadien="S.G.",VLeindplato*Brixratio))))</f>
        <v>8.257429591238022</v>
      </c>
      <c r="I49" s="540"/>
      <c r="J49" s="540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1031.5</v>
      </c>
      <c r="L49" s="487">
        <f>IF(alconalager="","",IF(kleur&gt;107,6,((35000-(kleur^2))/3888)))</f>
        <v>8.968846374274992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4.175114665788824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1016.2384303237742</v>
      </c>
      <c r="F50" s="172"/>
      <c r="J50" s="134" t="s">
        <v>63</v>
      </c>
      <c r="K50" s="173">
        <f>IF(Totaalkg=0,"",IF(Bekomenliter="","",IF(Stamwort="","",StamSG/1000*Bekomenliter*totplato/(Totaalkg)/100)))</f>
        <v>0.597670639271287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0.7100280299326036</v>
      </c>
      <c r="C51" s="176" t="s">
        <v>65</v>
      </c>
      <c r="E51" s="177"/>
      <c r="F51" s="175">
        <f>IF(Eindcijfer="","",IF(Stamplato="","",(Stamplato-Restextract)/Stamplato))</f>
        <v>0.5714020192621605</v>
      </c>
      <c r="G51" s="178">
        <f>IF(alcogewicht="","",IF(Eindcijfer="","",IF(Bekomenliter="","",EindSG/1000*alcogewicht/0.794/100)))</f>
        <v>0.05259393355441645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3.9155617867469017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9.33025717997886</v>
      </c>
      <c r="D52" s="186" t="s">
        <v>67</v>
      </c>
      <c r="E52" s="187">
        <v>23</v>
      </c>
      <c r="F52"/>
      <c r="G52" s="188" t="s">
        <v>68</v>
      </c>
      <c r="H52" s="189" t="s">
        <v>712</v>
      </c>
      <c r="I52" s="287"/>
      <c r="J52" s="19" t="s">
        <v>629</v>
      </c>
      <c r="K52" s="523" t="s">
        <v>713</v>
      </c>
      <c r="L52" s="523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26" t="s">
        <v>70</v>
      </c>
      <c r="C53" s="526"/>
      <c r="F53" s="134" t="s">
        <v>71</v>
      </c>
      <c r="G53" s="60" t="s">
        <v>17</v>
      </c>
      <c r="J53" s="134" t="s">
        <v>72</v>
      </c>
      <c r="K53" s="320">
        <v>8.5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9.33025717997886</v>
      </c>
      <c r="C54" s="192" t="s">
        <v>74</v>
      </c>
      <c r="D54" s="193">
        <v>80</v>
      </c>
      <c r="F54" s="195">
        <f>IF(Eindcijfer="","",IF(adviessuiker-nietvergist&lt;0,"GEEN",suikergift-nietvergist))</f>
        <v>5.414695393231958</v>
      </c>
      <c r="G54" s="194"/>
      <c r="H54" s="289" t="s">
        <v>75</v>
      </c>
      <c r="I54" s="196">
        <f>IF(Eindcijfer="","",IF(adviessuiker-nietvergist&lt;0,"",(suikergift-nietvergist)*Bekomenliter))</f>
        <v>44.400502224502056</v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0.05824863487561576</v>
      </c>
      <c r="C55" s="199"/>
      <c r="D55" s="200" t="s">
        <v>77</v>
      </c>
      <c r="E55" s="522">
        <f>IF($B$55="","",IF(Botdatum="","",IF($B$55*100&lt;5,((($B$55*100)-5)*30)+215+Botdatum,((($B$55*100)-5)*130)+215+Botdatum)))</f>
        <v>41923.23225338301</v>
      </c>
      <c r="F55" s="522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702</v>
      </c>
      <c r="G56" s="350" t="s">
        <v>703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705</v>
      </c>
      <c r="B57" s="492">
        <v>8.2</v>
      </c>
      <c r="C57" s="176"/>
      <c r="D57" s="493" t="s">
        <v>706</v>
      </c>
      <c r="E57" s="503">
        <f>ROUNDDOWN(B57/0.33/24,0)</f>
        <v>1</v>
      </c>
      <c r="F57" s="504"/>
      <c r="G57" s="505">
        <f>((B57/0.33/24)-E57)*24</f>
        <v>0.848484848484846</v>
      </c>
      <c r="H57" s="506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681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36" t="s">
        <v>638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688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692</v>
      </c>
      <c r="Y8" s="235">
        <v>82</v>
      </c>
      <c r="Z8" s="235">
        <v>107</v>
      </c>
      <c r="AA8" s="235" t="s">
        <v>691</v>
      </c>
      <c r="AB8" s="261" t="s">
        <v>693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4.5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9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11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4.5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701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690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2013-11-25T12:51:54Z</dcterms:modified>
  <cp:category/>
  <cp:version/>
  <cp:contentType/>
  <cp:contentStatus/>
</cp:coreProperties>
</file>